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3C491F2D-781E-4E37-BCAD-17004541A6C9}" xr6:coauthVersionLast="32" xr6:coauthVersionMax="32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D29" i="1" l="1"/>
  <c r="D30" i="1"/>
  <c r="D31" i="1"/>
  <c r="D32" i="1"/>
  <c r="H15" i="1" l="1"/>
  <c r="H16" i="1"/>
  <c r="H17" i="1"/>
  <c r="H18" i="1"/>
  <c r="H20" i="1"/>
  <c r="H21" i="1"/>
  <c r="H22" i="1"/>
  <c r="H26" i="1"/>
  <c r="H27" i="1"/>
  <c r="H29" i="1"/>
  <c r="H30" i="1"/>
  <c r="H31" i="1"/>
  <c r="H32" i="1"/>
  <c r="H35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G31" i="1"/>
  <c r="C21" i="2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B27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 l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34" i="1" l="1"/>
  <c r="H36" i="1"/>
  <c r="H28" i="1"/>
  <c r="H33" i="1"/>
  <c r="C23" i="2" s="1"/>
  <c r="H19" i="1"/>
  <c r="H23" i="1"/>
  <c r="C13" i="2" s="1"/>
  <c r="H25" i="1"/>
  <c r="C15" i="2" s="1"/>
  <c r="C22" i="2"/>
  <c r="C27" i="2"/>
  <c r="C6" i="2"/>
  <c r="C18" i="2"/>
  <c r="C26" i="2"/>
  <c r="C9" i="2"/>
  <c r="C14" i="2"/>
  <c r="C24" i="2"/>
  <c r="C11" i="2"/>
  <c r="C28" i="2"/>
  <c r="C19" i="2"/>
  <c r="C17" i="2"/>
</calcChain>
</file>

<file path=xl/sharedStrings.xml><?xml version="1.0" encoding="utf-8"?>
<sst xmlns="http://schemas.openxmlformats.org/spreadsheetml/2006/main" count="186" uniqueCount="125">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</sst>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9"/>
  <sheetViews>
    <sheetView tabSelected="1" zoomScaleNormal="100" workbookViewId="0">
      <selection activeCell="H25" sqref="H25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0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79"/>
      <c r="F1" s="1"/>
      <c r="H1" s="1"/>
      <c r="I1" s="1"/>
    </row>
    <row r="2" spans="1:14" ht="13.5" thickBot="1" x14ac:dyDescent="0.25">
      <c r="A2" s="2" t="s">
        <v>12</v>
      </c>
      <c r="B2" s="78">
        <v>43236</v>
      </c>
      <c r="C2" s="79"/>
      <c r="D2" s="30"/>
      <c r="E2" s="4" t="s">
        <v>97</v>
      </c>
      <c r="F2" s="46">
        <v>0.79166666666666663</v>
      </c>
      <c r="G2" s="5" t="s">
        <v>16</v>
      </c>
      <c r="H2" s="47">
        <v>4.8</v>
      </c>
      <c r="I2" s="52" t="s">
        <v>54</v>
      </c>
      <c r="J2" s="3"/>
    </row>
    <row r="3" spans="1:14" x14ac:dyDescent="0.2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2">
      <c r="A4" s="2" t="s">
        <v>55</v>
      </c>
      <c r="B4" s="44">
        <v>825.8</v>
      </c>
      <c r="D4" s="25"/>
      <c r="E4" s="85" t="s">
        <v>20</v>
      </c>
      <c r="F4" s="86"/>
      <c r="G4" s="7"/>
      <c r="H4" s="87" t="s">
        <v>69</v>
      </c>
      <c r="I4" s="86"/>
      <c r="J4" s="3"/>
      <c r="M4" s="40" t="s">
        <v>101</v>
      </c>
    </row>
    <row r="5" spans="1:14" x14ac:dyDescent="0.2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5">
      <c r="A6" s="2" t="s">
        <v>64</v>
      </c>
      <c r="B6" s="45">
        <v>5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2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2">
      <c r="A8" s="88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2">
      <c r="A9" s="89"/>
      <c r="B9" s="74">
        <v>43228</v>
      </c>
      <c r="C9" s="79"/>
      <c r="D9" s="24"/>
      <c r="E9" s="11"/>
      <c r="F9" s="11"/>
      <c r="H9" s="11"/>
      <c r="I9" s="11"/>
    </row>
    <row r="10" spans="1:14" x14ac:dyDescent="0.2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883.4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4.9074074074074076E-2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836.2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4.6458333333333331E-2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843.8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4.6875E-2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824.4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4.5798611111111109E-2</v>
      </c>
      <c r="J15" s="19">
        <f>IF((Beregninger!M5&gt;1),TIME(Beregninger!S5,Beregninger!U5,Beregninger!V5),"  ")</f>
        <v>8.1018518518518516E-5</v>
      </c>
      <c r="K15" s="19">
        <f>IF((Beregninger!M5&gt;1),(J15+$F$2),"  ")</f>
        <v>0.79174768518518512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794.4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4.4131944444444439E-2</v>
      </c>
      <c r="J16" s="19">
        <f>IF((Beregninger!M6&gt;1),TIME(Beregninger!S6,Beregninger!U6,Beregninger!V6),"  ")</f>
        <v>1.7476851851851852E-3</v>
      </c>
      <c r="K16" s="19">
        <f>IF((Beregninger!M6&gt;1),(J16+$F$2),"  ")</f>
        <v>0.79341435185185183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811.2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4.5069444444444447E-2</v>
      </c>
      <c r="J17" s="19">
        <f>IF((Beregninger!M7&gt;1),TIME(Beregninger!S7,Beregninger!U7,Beregninger!V7),"  ")</f>
        <v>8.1018518518518516E-4</v>
      </c>
      <c r="K17" s="19">
        <f>IF((Beregninger!M7&gt;1),(J17+$F$2),"  ")</f>
        <v>0.79247685185185179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784.4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4.3576388888888894E-2</v>
      </c>
      <c r="J18" s="19">
        <f>IF((Beregninger!M8&gt;1),TIME(Beregninger!S8,Beregninger!U8,Beregninger!V8),"  ")</f>
        <v>2.3032407407407407E-3</v>
      </c>
      <c r="K18" s="19">
        <f>IF((Beregninger!M8&gt;1),(J18+$F$2),"  ")</f>
        <v>0.79396990740740736</v>
      </c>
      <c r="N18" s="29"/>
    </row>
    <row r="19" spans="1:14" x14ac:dyDescent="0.2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728.2</v>
      </c>
      <c r="E19" s="27">
        <v>0.83968750000000003</v>
      </c>
      <c r="F19" s="27">
        <f t="shared" si="0"/>
        <v>4.8020833333333401E-2</v>
      </c>
      <c r="G19" s="27">
        <f>IF((E19&gt;$F$2),TIME(Beregninger!I9,Beregninger!K9,Beregninger!L9),"  ")</f>
        <v>5.3437499999999999E-2</v>
      </c>
      <c r="H19" s="20">
        <f t="shared" si="1"/>
        <v>7</v>
      </c>
      <c r="I19" s="19">
        <f>IF((Beregninger!M9&gt;1),TIME(Beregninger!N9,Beregninger!P9,Beregninger!Q9),"  ")</f>
        <v>4.0451388888888891E-2</v>
      </c>
      <c r="J19" s="19">
        <f>IF((Beregninger!M9&gt;1),TIME(Beregninger!S9,Beregninger!U9,Beregninger!V9),"  ")</f>
        <v>5.4166666666666669E-3</v>
      </c>
      <c r="K19" s="19">
        <f>IF((Beregninger!M9&gt;1),(J19+$F$2),"  ")</f>
        <v>0.79708333333333325</v>
      </c>
      <c r="M19" s="29"/>
      <c r="N19" s="29"/>
    </row>
    <row r="20" spans="1:14" hidden="1" x14ac:dyDescent="0.2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705.2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3.9178240740740743E-2</v>
      </c>
      <c r="J20" s="19">
        <f>IF((Beregninger!M10&gt;1),TIME(Beregninger!S10,Beregninger!U10,Beregninger!V10),"  ")</f>
        <v>6.7013888888888887E-3</v>
      </c>
      <c r="K20" s="19">
        <f>IF((Beregninger!M10&gt;1),(J20+$F$2),"  ")</f>
        <v>0.79836805555555557</v>
      </c>
      <c r="N20" s="29"/>
    </row>
    <row r="21" spans="1:14" hidden="1" x14ac:dyDescent="0.2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737.8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4.0983796296296296E-2</v>
      </c>
      <c r="J21" s="19">
        <f>IF((Beregninger!M11&gt;1),TIME(Beregninger!S11,Beregninger!U11,Beregninger!V11),"  ")</f>
        <v>4.8842592592592592E-3</v>
      </c>
      <c r="K21" s="19">
        <f>IF((Beregninger!M11&gt;1),(J21+$F$2),"  ")</f>
        <v>0.79655092592592591</v>
      </c>
      <c r="M21" s="29"/>
      <c r="N21" s="29"/>
    </row>
    <row r="22" spans="1:14" hidden="1" x14ac:dyDescent="0.2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4.1296296296296296E-2</v>
      </c>
      <c r="J22" s="19">
        <f>IF((Beregninger!M12&gt;1),TIME(Beregninger!S12,Beregninger!U12,Beregninger!V12),"  ")</f>
        <v>4.5833333333333334E-3</v>
      </c>
      <c r="K22" s="19">
        <f>IF((Beregninger!M12&gt;1),(J22+$F$2),"  ")</f>
        <v>0.79625000000000001</v>
      </c>
      <c r="N22" s="29"/>
    </row>
    <row r="23" spans="1:14" x14ac:dyDescent="0.2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621.79999999999995</v>
      </c>
      <c r="E23" s="27">
        <v>0.83210648148148147</v>
      </c>
      <c r="F23" s="27">
        <f t="shared" si="0"/>
        <v>4.0439814814814845E-2</v>
      </c>
      <c r="G23" s="27">
        <f>IF((E23&gt;$F$2),TIME(Beregninger!I13,Beregninger!K13,Beregninger!L13),"  ")</f>
        <v>5.1770833333333328E-2</v>
      </c>
      <c r="H23" s="20">
        <f t="shared" si="1"/>
        <v>5</v>
      </c>
      <c r="I23" s="19">
        <f>IF((Beregninger!M13&gt;1),TIME(Beregninger!N13,Beregninger!P13,Beregninger!Q13),"  ")</f>
        <v>3.4548611111111113E-2</v>
      </c>
      <c r="J23" s="19">
        <f>IF((Beregninger!M13&gt;1),TIME(Beregninger!S13,Beregninger!U13,Beregninger!V13),"  ")</f>
        <v>1.1331018518518518E-2</v>
      </c>
      <c r="K23" s="19">
        <f>IF((Beregninger!M13&gt;1),(J23+$F$2),"  ")</f>
        <v>0.80299768518518511</v>
      </c>
      <c r="N23" s="29"/>
    </row>
    <row r="24" spans="1:14" x14ac:dyDescent="0.2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">
        <v>124</v>
      </c>
      <c r="I24" s="75">
        <f>IF((Beregninger!M14&gt;1),TIME(Beregninger!N14,Beregninger!P14,Beregninger!Q14),"  ")</f>
        <v>3.9328703703703706E-2</v>
      </c>
      <c r="J24" s="75">
        <f>IF((Beregninger!M14&gt;1),TIME(Beregninger!S14,Beregninger!U14,Beregninger!V14),"  ")</f>
        <v>6.5393518518518517E-3</v>
      </c>
      <c r="K24" s="75">
        <f>IF((Beregninger!M14&gt;1),(J24+$F$2),"  ")</f>
        <v>0.79820601851851847</v>
      </c>
      <c r="N24" s="29"/>
    </row>
    <row r="25" spans="1:14" x14ac:dyDescent="0.2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693.6</v>
      </c>
      <c r="E25" s="53">
        <v>0.83202546296296298</v>
      </c>
      <c r="F25" s="27">
        <f t="shared" si="0"/>
        <v>4.0358796296296351E-2</v>
      </c>
      <c r="G25" s="27">
        <f>IF((E25&gt;$F$2),TIME(Beregninger!I15,Beregninger!K15,Beregninger!L15),"  ")</f>
        <v>4.7696759259259258E-2</v>
      </c>
      <c r="H25" s="20">
        <f t="shared" si="1"/>
        <v>1</v>
      </c>
      <c r="I25" s="19">
        <f>IF((Beregninger!M15&gt;1),TIME(Beregninger!N15,Beregninger!P15,Beregninger!Q15),"  ")</f>
        <v>3.8530092592592595E-2</v>
      </c>
      <c r="J25" s="19">
        <f>IF((Beregninger!M15&gt;1),TIME(Beregninger!S15,Beregninger!U15,Beregninger!V15),"  ")</f>
        <v>7.3495370370370372E-3</v>
      </c>
      <c r="K25" s="19">
        <f>IF((Beregninger!M15&gt;1),(J25+$F$2),"  ")</f>
        <v>0.79901620370370363</v>
      </c>
      <c r="M25" s="29"/>
      <c r="N25" s="29"/>
    </row>
    <row r="26" spans="1:14" hidden="1" x14ac:dyDescent="0.2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4.1967592592592591E-2</v>
      </c>
      <c r="J26" s="19">
        <f>IF((Beregninger!M16&gt;1),TIME(Beregninger!S16,Beregninger!U16,Beregninger!V16),"  ")</f>
        <v>3.9120370370370368E-3</v>
      </c>
      <c r="K26" s="19">
        <f>IF((Beregninger!M16&gt;1),(J26+$F$2),"  ")</f>
        <v>0.79557870370370365</v>
      </c>
      <c r="N26" s="29"/>
    </row>
    <row r="27" spans="1:14" hidden="1" x14ac:dyDescent="0.2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4.370370370370371E-2</v>
      </c>
      <c r="J27" s="19">
        <f>IF((Beregninger!M17&gt;1),TIME(Beregninger!S17,Beregninger!U17,Beregninger!V17),"  ")</f>
        <v>2.1759259259259258E-3</v>
      </c>
      <c r="K27" s="19">
        <f>IF((Beregninger!M17&gt;1),(J27+$F$2),"  ")</f>
        <v>0.7938425925925926</v>
      </c>
      <c r="N27" s="29"/>
    </row>
    <row r="28" spans="1:14" x14ac:dyDescent="0.2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670.8</v>
      </c>
      <c r="E28" s="54">
        <v>0.8343518518518519</v>
      </c>
      <c r="F28" s="27">
        <f t="shared" si="0"/>
        <v>4.268518518518527E-2</v>
      </c>
      <c r="G28" s="27">
        <f>IF((E28&gt;$F$2),TIME(Beregninger!I18,Beregninger!K18,Beregninger!L18),"  ")</f>
        <v>5.1296296296296291E-2</v>
      </c>
      <c r="H28" s="20">
        <f t="shared" si="1"/>
        <v>4</v>
      </c>
      <c r="I28" s="19">
        <f>IF((Beregninger!M18&gt;1),TIME(Beregninger!N18,Beregninger!P18,Beregninger!Q18),"  ")</f>
        <v>3.7268518518518513E-2</v>
      </c>
      <c r="J28" s="19">
        <f>IF((Beregninger!M18&gt;1),TIME(Beregninger!S18,Beregninger!U18,Beregninger!V18),"  ")</f>
        <v>8.611111111111111E-3</v>
      </c>
      <c r="K28" s="19">
        <f>IF((Beregninger!M18&gt;1),(J28+$F$2),"  ")</f>
        <v>0.80027777777777775</v>
      </c>
      <c r="N28" s="29"/>
    </row>
    <row r="29" spans="1:14" hidden="1" x14ac:dyDescent="0.2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3.7523148148148146E-2</v>
      </c>
      <c r="J29" s="19">
        <f>IF((Beregninger!M19&gt;1),TIME(Beregninger!S19,Beregninger!U19,Beregninger!V19),"  ")</f>
        <v>8.3564814814814804E-3</v>
      </c>
      <c r="K29" s="19">
        <f>IF((Beregninger!M19&gt;1),(J29+$F$2),"  ")</f>
        <v>0.80002314814814812</v>
      </c>
      <c r="N29" s="29"/>
    </row>
    <row r="30" spans="1:14" hidden="1" x14ac:dyDescent="0.2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3.6620370370370373E-2</v>
      </c>
      <c r="J30" s="19">
        <f>IF((Beregninger!M20&gt;1),TIME(Beregninger!S20,Beregninger!U20,Beregninger!V20),"  ")</f>
        <v>9.2592592592592605E-3</v>
      </c>
      <c r="K30" s="19">
        <f>IF((Beregninger!M20&gt;1),(J30+$F$2),"  ")</f>
        <v>0.80092592592592593</v>
      </c>
      <c r="N30" s="29"/>
    </row>
    <row r="31" spans="1:14" x14ac:dyDescent="0.2">
      <c r="A31" s="37" t="s">
        <v>121</v>
      </c>
      <c r="B31" s="2" t="str">
        <f>IF((D31&gt;0.5),Måltal!B21,"     ")</f>
        <v>H-båd</v>
      </c>
      <c r="C31" s="82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825.8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4.5879629629629631E-2</v>
      </c>
      <c r="J31" s="19">
        <f>IF((Beregninger!M21&gt;1),TIME(Beregninger!S21,Beregninger!U21,Beregninger!V21),"  ")</f>
        <v>0</v>
      </c>
      <c r="K31" s="19">
        <f>IF((Beregninger!M21&gt;1),(J31+$F$2),"  ")</f>
        <v>0.79166666666666663</v>
      </c>
      <c r="N31" s="29"/>
    </row>
    <row r="32" spans="1:14" ht="12.75" customHeight="1" x14ac:dyDescent="0.2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825.8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tr">
        <f t="shared" si="1"/>
        <v>DNS</v>
      </c>
      <c r="I32" s="19">
        <f>IF((Beregninger!M22&gt;1),TIME(Beregninger!N22,Beregninger!P22,Beregninger!Q22),"  ")</f>
        <v>4.5879629629629631E-2</v>
      </c>
      <c r="J32" s="19">
        <f>IF((Beregninger!M22&gt;1),TIME(Beregninger!S22,Beregninger!U22,Beregninger!V22),"  ")</f>
        <v>0</v>
      </c>
      <c r="K32" s="19">
        <f>IF((Beregninger!M22&gt;1),(J32+$F$2),"  ")</f>
        <v>0.79166666666666663</v>
      </c>
      <c r="M32" s="29"/>
      <c r="N32" s="29"/>
    </row>
    <row r="33" spans="1:14" ht="12.75" customHeight="1" x14ac:dyDescent="0.2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825.8</v>
      </c>
      <c r="E33" s="27">
        <v>0.8421643518518519</v>
      </c>
      <c r="F33" s="27">
        <f t="shared" si="0"/>
        <v>5.049768518518527E-2</v>
      </c>
      <c r="G33" s="27">
        <f>IF((E33&gt;$F$2),TIME(Beregninger!I23,Beregninger!K23,Beregninger!L23),"  ")</f>
        <v>5.0497685185185187E-2</v>
      </c>
      <c r="H33" s="20">
        <f t="shared" si="1"/>
        <v>3</v>
      </c>
      <c r="I33" s="19">
        <f>IF((Beregninger!M23&gt;1),TIME(Beregninger!N23,Beregninger!P23,Beregninger!Q23),"  ")</f>
        <v>4.5879629629629631E-2</v>
      </c>
      <c r="J33" s="19">
        <f>IF((Beregninger!M23&gt;1),TIME(Beregninger!S23,Beregninger!U23,Beregninger!V23),"  ")</f>
        <v>0</v>
      </c>
      <c r="K33" s="19">
        <f>IF((Beregninger!M23&gt;1),(J33+$F$2),"  ")</f>
        <v>0.79166666666666663</v>
      </c>
      <c r="M33" s="29"/>
      <c r="N33" s="29"/>
    </row>
    <row r="34" spans="1:14" ht="12.75" customHeight="1" x14ac:dyDescent="0.2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825.8</v>
      </c>
      <c r="E34" s="55">
        <v>0.84368055555555566</v>
      </c>
      <c r="F34" s="27">
        <f t="shared" si="0"/>
        <v>5.2013888888889026E-2</v>
      </c>
      <c r="G34" s="27">
        <f>IF((E34&gt;$F$2),TIME(Beregninger!I24,Beregninger!K24,Beregninger!L24),"  ")</f>
        <v>5.2013888888888887E-2</v>
      </c>
      <c r="H34" s="20">
        <f t="shared" si="1"/>
        <v>6</v>
      </c>
      <c r="I34" s="19">
        <f>IF((Beregninger!M24&gt;1),TIME(Beregninger!N24,Beregninger!P24,Beregninger!Q24),"  ")</f>
        <v>4.5879629629629631E-2</v>
      </c>
      <c r="J34" s="19">
        <f>IF((Beregninger!M24&gt;1),TIME(Beregninger!S24,Beregninger!U24,Beregninger!V24),"  ")</f>
        <v>0</v>
      </c>
      <c r="K34" s="19">
        <f>IF((Beregninger!M24&gt;1),(J34+$F$2),"  ")</f>
        <v>0.79166666666666663</v>
      </c>
      <c r="M34" s="29"/>
      <c r="N34" s="29"/>
    </row>
    <row r="35" spans="1:14" ht="12.75" customHeight="1" x14ac:dyDescent="0.2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825.8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4.2129629629629626E-3</v>
      </c>
      <c r="J35" s="19">
        <f>IF((Beregninger!M25&gt;1),TIME(Beregninger!S25,Beregninger!U25,Beregninger!V25),"  ")</f>
        <v>0</v>
      </c>
      <c r="K35" s="19">
        <f>IF((Beregninger!M25&gt;1),(J35+$F$2),"  ")</f>
        <v>0.79166666666666663</v>
      </c>
      <c r="M35" s="29"/>
      <c r="N35" s="29"/>
    </row>
    <row r="36" spans="1:14" ht="12.75" customHeight="1" x14ac:dyDescent="0.2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749</v>
      </c>
      <c r="E36" s="57">
        <v>0.83634259259259258</v>
      </c>
      <c r="F36" s="27">
        <f t="shared" si="0"/>
        <v>4.4675925925925952E-2</v>
      </c>
      <c r="G36" s="27">
        <f>IF((E36&gt;$F$2),TIME(Beregninger!I26,Beregninger!K26,Beregninger!L26),"  ")</f>
        <v>4.8935185185185186E-2</v>
      </c>
      <c r="H36" s="20">
        <f t="shared" si="1"/>
        <v>2</v>
      </c>
      <c r="I36" s="19">
        <f>IF((Beregninger!M26&gt;1),TIME(Beregninger!N26,Beregninger!P26,Beregninger!Q26),"  ")</f>
        <v>4.1608796296296297E-2</v>
      </c>
      <c r="J36" s="19">
        <f>IF((Beregninger!M26&gt;1),TIME(Beregninger!S26,Beregninger!U26,Beregninger!V26),"  ")</f>
        <v>4.2708333333333339E-3</v>
      </c>
      <c r="K36" s="19">
        <f>IF((Beregninger!M26&gt;1),(J36+$F$2),"  ")</f>
        <v>0.79593749999999996</v>
      </c>
      <c r="N36" s="29"/>
    </row>
    <row r="37" spans="1:14" ht="12.75" hidden="1" customHeight="1" x14ac:dyDescent="0.2">
      <c r="A37" s="37" t="str">
        <f>IF((D37&gt;0.5),Måltal!A27,"    ")</f>
        <v>Havblik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4.162037037037037E-2</v>
      </c>
      <c r="J37" s="19">
        <f>IF((Beregninger!M27&gt;1),TIME(Beregninger!S27,Beregninger!U27,Beregninger!V27),"  ")</f>
        <v>4.2592592592592595E-3</v>
      </c>
      <c r="K37" s="19">
        <f>IF((Beregninger!M27&gt;1),(J37+$F$2),"  ")</f>
        <v>0.79592592592592593</v>
      </c>
      <c r="L37" t="s">
        <v>119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3.6747685185185182E-2</v>
      </c>
      <c r="J38" s="19">
        <f>IF((Beregninger!M28&gt;1),TIME(Beregninger!S28,Beregninger!U28,Beregninger!V28),"  ")</f>
        <v>9.1319444444444443E-3</v>
      </c>
      <c r="K38" s="19">
        <f>IF((Beregninger!M28&gt;1),(J38+$F$2),"  ")</f>
        <v>0.80079861111111106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4.597222222222222E-2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>
      <pane ySplit="1" topLeftCell="A2" activePane="bottomLeft" state="frozen"/>
      <selection pane="bottomLeft" activeCell="C15" sqref="C15"/>
    </sheetView>
  </sheetViews>
  <sheetFormatPr defaultColWidth="9.140625" defaultRowHeight="12.75" customHeight="1" x14ac:dyDescent="0.2"/>
  <cols>
    <col min="1" max="1" width="13.140625" style="38" bestFit="1" customWidth="1"/>
    <col min="2" max="2" width="19.7109375" style="38" customWidth="1"/>
    <col min="3" max="3" width="7.85546875" style="38" bestFit="1" customWidth="1"/>
    <col min="4" max="7" width="9.140625" style="65" customWidth="1"/>
    <col min="8" max="8" width="10.28515625" style="65" customWidth="1"/>
    <col min="9" max="10" width="9.140625" style="65" customWidth="1"/>
    <col min="11" max="11" width="9.140625" style="38" customWidth="1"/>
    <col min="12" max="12" width="9.140625" style="38"/>
    <col min="13" max="13" width="10.140625" style="38" bestFit="1" customWidth="1"/>
    <col min="14" max="16384" width="9.140625" style="38"/>
  </cols>
  <sheetData>
    <row r="1" spans="1:13" x14ac:dyDescent="0.2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123</v>
      </c>
      <c r="M1" s="38" t="s">
        <v>122</v>
      </c>
    </row>
    <row r="2" spans="1:13" ht="12.75" customHeight="1" x14ac:dyDescent="0.2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116</v>
      </c>
    </row>
    <row r="3" spans="1:13" x14ac:dyDescent="0.2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116</v>
      </c>
    </row>
    <row r="4" spans="1:13" x14ac:dyDescent="0.2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116</v>
      </c>
    </row>
    <row r="5" spans="1:13" x14ac:dyDescent="0.2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116</v>
      </c>
    </row>
    <row r="6" spans="1:13" x14ac:dyDescent="0.2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116</v>
      </c>
    </row>
    <row r="7" spans="1:13" x14ac:dyDescent="0.2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116</v>
      </c>
    </row>
    <row r="8" spans="1:13" x14ac:dyDescent="0.2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116</v>
      </c>
    </row>
    <row r="9" spans="1:13" s="73" customFormat="1" x14ac:dyDescent="0.2">
      <c r="A9" s="66" t="s">
        <v>1</v>
      </c>
      <c r="B9" s="67" t="s">
        <v>89</v>
      </c>
      <c r="C9" s="31">
        <f>Resultat!H19</f>
        <v>7</v>
      </c>
      <c r="D9" s="35">
        <v>741</v>
      </c>
      <c r="E9" s="83">
        <v>580.20000000000005</v>
      </c>
      <c r="F9" s="35">
        <v>511.6</v>
      </c>
      <c r="G9" s="35">
        <v>969.4</v>
      </c>
      <c r="H9" s="35">
        <v>728.2</v>
      </c>
      <c r="I9" s="35">
        <v>620.20000000000005</v>
      </c>
      <c r="J9" s="35">
        <v>587.20000000000005</v>
      </c>
      <c r="K9" s="36">
        <v>1.1419999999999999</v>
      </c>
      <c r="L9" s="32">
        <v>30673</v>
      </c>
      <c r="M9" s="32" t="s">
        <v>116</v>
      </c>
    </row>
    <row r="10" spans="1:13" x14ac:dyDescent="0.2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116</v>
      </c>
    </row>
    <row r="11" spans="1:13" x14ac:dyDescent="0.2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116</v>
      </c>
    </row>
    <row r="12" spans="1:13" x14ac:dyDescent="0.2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116</v>
      </c>
    </row>
    <row r="13" spans="1:13" s="73" customFormat="1" x14ac:dyDescent="0.2">
      <c r="A13" s="66" t="s">
        <v>109</v>
      </c>
      <c r="B13" s="67" t="s">
        <v>110</v>
      </c>
      <c r="C13" s="68">
        <f>Resultat!H23</f>
        <v>5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2">
      <c r="A14" s="66" t="s">
        <v>118</v>
      </c>
      <c r="B14" s="67" t="s">
        <v>117</v>
      </c>
      <c r="C14" s="31" t="str">
        <f>Resultat!H24</f>
        <v>DSQ</v>
      </c>
      <c r="D14" s="35">
        <v>705</v>
      </c>
      <c r="E14" s="35">
        <v>569</v>
      </c>
      <c r="F14" s="35">
        <v>509.2</v>
      </c>
      <c r="G14" s="35">
        <v>916.8</v>
      </c>
      <c r="H14" s="35">
        <v>708</v>
      </c>
      <c r="I14" s="35">
        <v>614.79999999999995</v>
      </c>
      <c r="J14" s="35">
        <v>574.6</v>
      </c>
      <c r="K14" s="36">
        <v>1.159</v>
      </c>
      <c r="L14" s="32">
        <v>3984</v>
      </c>
      <c r="M14" s="32" t="s">
        <v>116</v>
      </c>
    </row>
    <row r="15" spans="1:13" s="73" customFormat="1" x14ac:dyDescent="0.2">
      <c r="A15" s="66" t="s">
        <v>98</v>
      </c>
      <c r="B15" s="67" t="s">
        <v>99</v>
      </c>
      <c r="C15" s="68">
        <f>Resultat!H25</f>
        <v>1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2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116</v>
      </c>
    </row>
    <row r="17" spans="1:13" x14ac:dyDescent="0.2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116</v>
      </c>
    </row>
    <row r="18" spans="1:13" s="73" customFormat="1" x14ac:dyDescent="0.2">
      <c r="A18" s="66" t="s">
        <v>8</v>
      </c>
      <c r="B18" s="67" t="s">
        <v>93</v>
      </c>
      <c r="C18" s="68">
        <f>Resultat!H28</f>
        <v>4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2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116</v>
      </c>
    </row>
    <row r="20" spans="1:13" x14ac:dyDescent="0.2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116</v>
      </c>
    </row>
    <row r="21" spans="1:13" x14ac:dyDescent="0.2">
      <c r="A21" s="66" t="s">
        <v>121</v>
      </c>
      <c r="B21" s="67" t="s">
        <v>76</v>
      </c>
      <c r="C21" s="68" t="str">
        <f>Resultat!H31</f>
        <v>DNS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2">
      <c r="A22" s="68" t="s">
        <v>111</v>
      </c>
      <c r="B22" s="67" t="s">
        <v>76</v>
      </c>
      <c r="C22" s="68" t="str">
        <f>Resultat!H32</f>
        <v>DNS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2">
      <c r="A23" s="66" t="s">
        <v>75</v>
      </c>
      <c r="B23" s="67" t="s">
        <v>76</v>
      </c>
      <c r="C23" s="31">
        <f>Resultat!H33</f>
        <v>3</v>
      </c>
      <c r="D23" s="64">
        <v>852.8</v>
      </c>
      <c r="E23" s="64">
        <v>662.4</v>
      </c>
      <c r="F23" s="64">
        <v>586.6</v>
      </c>
      <c r="G23" s="64">
        <v>1122.4000000000001</v>
      </c>
      <c r="H23" s="64">
        <v>825.8</v>
      </c>
      <c r="I23" s="64">
        <v>713.2</v>
      </c>
      <c r="J23" s="64">
        <v>672</v>
      </c>
      <c r="K23" s="31">
        <v>0.998</v>
      </c>
      <c r="L23" s="32">
        <v>16718</v>
      </c>
      <c r="M23" s="32" t="s">
        <v>116</v>
      </c>
    </row>
    <row r="24" spans="1:13" s="73" customFormat="1" ht="12.75" customHeight="1" x14ac:dyDescent="0.2">
      <c r="A24" s="66" t="s">
        <v>79</v>
      </c>
      <c r="B24" s="67" t="s">
        <v>76</v>
      </c>
      <c r="C24" s="68">
        <f>Resultat!H34</f>
        <v>6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2">
      <c r="A25" s="33" t="s">
        <v>115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116</v>
      </c>
    </row>
    <row r="26" spans="1:13" s="73" customFormat="1" ht="12.75" customHeight="1" x14ac:dyDescent="0.2">
      <c r="A26" s="66" t="s">
        <v>77</v>
      </c>
      <c r="B26" s="67" t="s">
        <v>78</v>
      </c>
      <c r="C26" s="31">
        <f>Resultat!H36</f>
        <v>2</v>
      </c>
      <c r="D26" s="42">
        <v>743.2</v>
      </c>
      <c r="E26" s="42">
        <v>600</v>
      </c>
      <c r="F26" s="42">
        <v>539</v>
      </c>
      <c r="G26" s="42">
        <v>972.8</v>
      </c>
      <c r="H26" s="42">
        <v>749</v>
      </c>
      <c r="I26" s="42">
        <v>652.4</v>
      </c>
      <c r="J26" s="42">
        <v>606.20000000000005</v>
      </c>
      <c r="K26" s="31">
        <v>1.097</v>
      </c>
      <c r="L26" s="32">
        <v>8966</v>
      </c>
      <c r="M26" s="32" t="s">
        <v>116</v>
      </c>
    </row>
    <row r="27" spans="1:13" ht="12.75" customHeight="1" x14ac:dyDescent="0.2">
      <c r="A27" s="32" t="s">
        <v>112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116</v>
      </c>
    </row>
    <row r="28" spans="1:13" ht="12.75" customHeight="1" x14ac:dyDescent="0.2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116</v>
      </c>
    </row>
    <row r="29" spans="1:13" s="73" customFormat="1" ht="12.75" customHeight="1" x14ac:dyDescent="0.2">
      <c r="A29" s="66" t="s">
        <v>113</v>
      </c>
      <c r="B29" s="67" t="s">
        <v>114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116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>
      <selection activeCell="W22" sqref="W22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4240</v>
      </c>
      <c r="N2" s="23">
        <f t="shared" ref="N2:N29" si="10">ROUNDDOWN((M2/3600),0)</f>
        <v>1</v>
      </c>
      <c r="O2" s="23">
        <f t="shared" ref="O2:O29" si="11">MOD(M2,3600)</f>
        <v>640</v>
      </c>
      <c r="P2" s="21">
        <f t="shared" ref="P2:P29" si="12">INT((O2/60))</f>
        <v>10</v>
      </c>
      <c r="Q2" s="23">
        <f t="shared" ref="Q2:Q29" si="13">MOD(O2,60)</f>
        <v>40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4014</v>
      </c>
      <c r="N3" s="23">
        <f t="shared" si="10"/>
        <v>1</v>
      </c>
      <c r="O3" s="23">
        <f t="shared" si="11"/>
        <v>414</v>
      </c>
      <c r="P3" s="21">
        <f t="shared" si="12"/>
        <v>6</v>
      </c>
      <c r="Q3" s="23">
        <f t="shared" si="13"/>
        <v>54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4050</v>
      </c>
      <c r="N4" s="23">
        <f t="shared" si="10"/>
        <v>1</v>
      </c>
      <c r="O4" s="23">
        <f t="shared" si="11"/>
        <v>450</v>
      </c>
      <c r="P4" s="21">
        <f t="shared" si="12"/>
        <v>7</v>
      </c>
      <c r="Q4" s="23">
        <f t="shared" si="13"/>
        <v>30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3957</v>
      </c>
      <c r="N5" s="23">
        <f t="shared" si="10"/>
        <v>1</v>
      </c>
      <c r="O5" s="23">
        <f t="shared" si="11"/>
        <v>357</v>
      </c>
      <c r="P5" s="21">
        <f t="shared" si="12"/>
        <v>5</v>
      </c>
      <c r="Q5" s="23">
        <f t="shared" si="13"/>
        <v>57</v>
      </c>
      <c r="R5" s="21">
        <f>IF((Resultat!$B$4&gt;Resultat!D15),ROUND(((Resultat!$B$4-Resultat!D15)*Resultat!$H$2),0),0)</f>
        <v>7</v>
      </c>
      <c r="S5" s="21">
        <f t="shared" si="14"/>
        <v>0</v>
      </c>
      <c r="T5" s="21">
        <f t="shared" si="15"/>
        <v>7</v>
      </c>
      <c r="U5" s="21">
        <f t="shared" si="16"/>
        <v>0</v>
      </c>
      <c r="V5" s="21">
        <f t="shared" si="17"/>
        <v>7</v>
      </c>
      <c r="W5" s="21" t="s">
        <v>30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3813</v>
      </c>
      <c r="N6" s="23">
        <f t="shared" si="10"/>
        <v>1</v>
      </c>
      <c r="O6" s="23">
        <f t="shared" si="11"/>
        <v>213</v>
      </c>
      <c r="P6" s="21">
        <f t="shared" si="12"/>
        <v>3</v>
      </c>
      <c r="Q6" s="23">
        <f t="shared" si="13"/>
        <v>33</v>
      </c>
      <c r="R6" s="21">
        <f>IF((Resultat!$B$4&gt;Resultat!D16),ROUND(((Resultat!$B$4-Resultat!D16)*Resultat!$H$2),0),0)</f>
        <v>151</v>
      </c>
      <c r="S6" s="21">
        <f t="shared" si="14"/>
        <v>0</v>
      </c>
      <c r="T6" s="21">
        <f t="shared" si="15"/>
        <v>151</v>
      </c>
      <c r="U6" s="21">
        <f t="shared" si="16"/>
        <v>2</v>
      </c>
      <c r="V6" s="21">
        <f t="shared" si="17"/>
        <v>31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3894</v>
      </c>
      <c r="N7" s="23">
        <f t="shared" si="10"/>
        <v>1</v>
      </c>
      <c r="O7" s="23">
        <f t="shared" si="11"/>
        <v>294</v>
      </c>
      <c r="P7" s="21">
        <f t="shared" si="12"/>
        <v>4</v>
      </c>
      <c r="Q7" s="23">
        <f t="shared" si="13"/>
        <v>54</v>
      </c>
      <c r="R7" s="21">
        <f>IF((Resultat!$B$4&gt;Resultat!D17),ROUND(((Resultat!$B$4-Resultat!D17)*Resultat!$H$2),0),0)</f>
        <v>70</v>
      </c>
      <c r="S7" s="21">
        <f t="shared" si="14"/>
        <v>0</v>
      </c>
      <c r="T7" s="21">
        <f t="shared" si="15"/>
        <v>70</v>
      </c>
      <c r="U7" s="21">
        <f t="shared" si="16"/>
        <v>1</v>
      </c>
      <c r="V7" s="21">
        <f t="shared" si="17"/>
        <v>10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3765</v>
      </c>
      <c r="N8" s="23">
        <f t="shared" si="10"/>
        <v>1</v>
      </c>
      <c r="O8" s="23">
        <f t="shared" si="11"/>
        <v>165</v>
      </c>
      <c r="P8" s="21">
        <f t="shared" si="12"/>
        <v>2</v>
      </c>
      <c r="Q8" s="23">
        <f t="shared" si="13"/>
        <v>45</v>
      </c>
      <c r="R8" s="21">
        <f>IF((Resultat!$B$4&gt;Resultat!D18),ROUND(((Resultat!$B$4-Resultat!D18)*Resultat!$H$2),0),0)</f>
        <v>199</v>
      </c>
      <c r="S8" s="21">
        <f t="shared" si="14"/>
        <v>0</v>
      </c>
      <c r="T8" s="21">
        <f t="shared" si="15"/>
        <v>199</v>
      </c>
      <c r="U8" s="21">
        <f t="shared" si="16"/>
        <v>3</v>
      </c>
      <c r="V8" s="21">
        <f t="shared" si="17"/>
        <v>19</v>
      </c>
      <c r="W8" s="21" t="s">
        <v>61</v>
      </c>
    </row>
    <row r="9" spans="1:23" ht="12.75" customHeight="1" x14ac:dyDescent="0.2">
      <c r="A9" s="22">
        <f>Resultat!F19</f>
        <v>4.8020833333333401E-2</v>
      </c>
      <c r="B9" s="21">
        <f t="shared" si="0"/>
        <v>1</v>
      </c>
      <c r="C9" s="21">
        <f t="shared" si="1"/>
        <v>3600</v>
      </c>
      <c r="D9" s="21">
        <f t="shared" si="2"/>
        <v>9</v>
      </c>
      <c r="E9" s="21">
        <f t="shared" si="3"/>
        <v>540</v>
      </c>
      <c r="F9" s="21">
        <f t="shared" si="4"/>
        <v>9</v>
      </c>
      <c r="G9" s="21">
        <f t="shared" si="5"/>
        <v>4149</v>
      </c>
      <c r="H9" s="23">
        <f>IF((Resultat!$B$6&lt;=7),(G9+((Resultat!$B$4-Resultat!D19)*Resultat!$H$2)),(G9*Resultat!D19))</f>
        <v>4617.4799999999996</v>
      </c>
      <c r="I9" s="21">
        <f t="shared" si="6"/>
        <v>1</v>
      </c>
      <c r="J9" s="23">
        <f t="shared" si="7"/>
        <v>1017.4799999999996</v>
      </c>
      <c r="K9" s="21">
        <f t="shared" si="8"/>
        <v>16</v>
      </c>
      <c r="L9" s="23">
        <f t="shared" si="9"/>
        <v>57.479999999999563</v>
      </c>
      <c r="M9" s="23">
        <f>ROUND((Resultat!D19*Resultat!$H$2),0)</f>
        <v>3495</v>
      </c>
      <c r="N9" s="23">
        <f t="shared" si="10"/>
        <v>0</v>
      </c>
      <c r="O9" s="23">
        <f t="shared" si="11"/>
        <v>3495</v>
      </c>
      <c r="P9" s="21">
        <f t="shared" si="12"/>
        <v>58</v>
      </c>
      <c r="Q9" s="23">
        <f t="shared" si="13"/>
        <v>15</v>
      </c>
      <c r="R9" s="21">
        <f>IF((Resultat!$B$4&gt;Resultat!D19),ROUND(((Resultat!$B$4-Resultat!D19)*Resultat!$H$2),0),0)</f>
        <v>468</v>
      </c>
      <c r="S9" s="21">
        <f t="shared" si="14"/>
        <v>0</v>
      </c>
      <c r="T9" s="21">
        <f t="shared" si="15"/>
        <v>468</v>
      </c>
      <c r="U9" s="21">
        <f t="shared" si="16"/>
        <v>7</v>
      </c>
      <c r="V9" s="21">
        <f t="shared" si="17"/>
        <v>48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3385</v>
      </c>
      <c r="N10" s="23">
        <f t="shared" si="10"/>
        <v>0</v>
      </c>
      <c r="O10" s="23">
        <f t="shared" si="11"/>
        <v>3385</v>
      </c>
      <c r="P10" s="21">
        <f t="shared" si="12"/>
        <v>56</v>
      </c>
      <c r="Q10" s="23">
        <f t="shared" si="13"/>
        <v>25</v>
      </c>
      <c r="R10" s="21">
        <f>IF((Resultat!$B$4&gt;Resultat!D20),ROUND(((Resultat!$B$4-Resultat!D20)*Resultat!$H$2),0),0)</f>
        <v>579</v>
      </c>
      <c r="S10" s="21">
        <f t="shared" si="14"/>
        <v>0</v>
      </c>
      <c r="T10" s="21">
        <f t="shared" si="15"/>
        <v>579</v>
      </c>
      <c r="U10" s="21">
        <f t="shared" si="16"/>
        <v>9</v>
      </c>
      <c r="V10" s="21">
        <f t="shared" si="17"/>
        <v>39</v>
      </c>
      <c r="W10" s="21" t="s">
        <v>59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3541</v>
      </c>
      <c r="N11" s="23">
        <f t="shared" si="10"/>
        <v>0</v>
      </c>
      <c r="O11" s="23">
        <f t="shared" si="11"/>
        <v>3541</v>
      </c>
      <c r="P11" s="21">
        <f t="shared" si="12"/>
        <v>59</v>
      </c>
      <c r="Q11" s="23">
        <f t="shared" si="13"/>
        <v>1</v>
      </c>
      <c r="R11" s="21">
        <f>IF((Resultat!$B$4&gt;Resultat!D21),ROUND(((Resultat!$B$4-Resultat!D21)*Resultat!$H$2),0),0)</f>
        <v>422</v>
      </c>
      <c r="S11" s="21">
        <f t="shared" si="14"/>
        <v>0</v>
      </c>
      <c r="T11" s="21">
        <f t="shared" si="15"/>
        <v>422</v>
      </c>
      <c r="U11" s="21">
        <f t="shared" si="16"/>
        <v>7</v>
      </c>
      <c r="V11" s="21">
        <f t="shared" si="17"/>
        <v>2</v>
      </c>
      <c r="W11" s="21" t="s">
        <v>49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3568</v>
      </c>
      <c r="N12" s="23">
        <f t="shared" si="10"/>
        <v>0</v>
      </c>
      <c r="O12" s="23">
        <f t="shared" si="11"/>
        <v>3568</v>
      </c>
      <c r="P12" s="21">
        <f t="shared" si="12"/>
        <v>59</v>
      </c>
      <c r="Q12" s="23">
        <f t="shared" si="13"/>
        <v>28</v>
      </c>
      <c r="R12" s="21">
        <f>IF((Resultat!$B$4&gt;Resultat!D22),ROUND(((Resultat!$B$4-Resultat!D22)*Resultat!$H$2),0),0)</f>
        <v>396</v>
      </c>
      <c r="S12" s="21">
        <f t="shared" si="14"/>
        <v>0</v>
      </c>
      <c r="T12" s="21">
        <f t="shared" si="15"/>
        <v>396</v>
      </c>
      <c r="U12" s="21">
        <f t="shared" si="16"/>
        <v>6</v>
      </c>
      <c r="V12" s="21">
        <f t="shared" si="17"/>
        <v>36</v>
      </c>
      <c r="W12" s="21" t="s">
        <v>37</v>
      </c>
    </row>
    <row r="13" spans="1:23" ht="12.75" customHeight="1" x14ac:dyDescent="0.2">
      <c r="A13" s="22">
        <f>Resultat!F23</f>
        <v>4.0439814814814845E-2</v>
      </c>
      <c r="B13" s="21">
        <f t="shared" si="0"/>
        <v>0</v>
      </c>
      <c r="C13" s="21">
        <f t="shared" si="1"/>
        <v>0</v>
      </c>
      <c r="D13" s="21">
        <f t="shared" si="2"/>
        <v>58</v>
      </c>
      <c r="E13" s="21">
        <f t="shared" si="3"/>
        <v>3480</v>
      </c>
      <c r="F13" s="21">
        <f t="shared" si="4"/>
        <v>14</v>
      </c>
      <c r="G13" s="21">
        <f t="shared" si="5"/>
        <v>3494</v>
      </c>
      <c r="H13" s="23">
        <f>IF((Resultat!$B$6&lt;=7),(G13+((Resultat!$B$4-Resultat!D23)*Resultat!$H$2)),(G13*Resultat!D23))</f>
        <v>4473.2</v>
      </c>
      <c r="I13" s="21">
        <f t="shared" si="6"/>
        <v>1</v>
      </c>
      <c r="J13" s="23">
        <f t="shared" si="7"/>
        <v>873.19999999999982</v>
      </c>
      <c r="K13" s="21">
        <f t="shared" si="8"/>
        <v>14</v>
      </c>
      <c r="L13" s="23">
        <f t="shared" si="9"/>
        <v>33.199999999999818</v>
      </c>
      <c r="M13" s="23">
        <f>ROUND((Resultat!D23*Resultat!$H$2),0)</f>
        <v>2985</v>
      </c>
      <c r="N13" s="23">
        <f t="shared" si="10"/>
        <v>0</v>
      </c>
      <c r="O13" s="23">
        <f t="shared" si="11"/>
        <v>2985</v>
      </c>
      <c r="P13" s="21">
        <f t="shared" si="12"/>
        <v>49</v>
      </c>
      <c r="Q13" s="23">
        <f t="shared" si="13"/>
        <v>45</v>
      </c>
      <c r="R13" s="21">
        <f>IF((Resultat!$B$4&gt;Resultat!D23),ROUND(((Resultat!$B$4-Resultat!D23)*Resultat!$H$2),0),0)</f>
        <v>979</v>
      </c>
      <c r="S13" s="21">
        <f t="shared" si="14"/>
        <v>0</v>
      </c>
      <c r="T13" s="21">
        <f t="shared" si="15"/>
        <v>979</v>
      </c>
      <c r="U13" s="21">
        <f t="shared" si="16"/>
        <v>16</v>
      </c>
      <c r="V13" s="21">
        <f t="shared" si="17"/>
        <v>19</v>
      </c>
      <c r="W13" s="21" t="s">
        <v>42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3398</v>
      </c>
      <c r="N14" s="23">
        <f t="shared" si="10"/>
        <v>0</v>
      </c>
      <c r="O14" s="23">
        <f t="shared" si="11"/>
        <v>3398</v>
      </c>
      <c r="P14" s="21">
        <f t="shared" si="12"/>
        <v>56</v>
      </c>
      <c r="Q14" s="23">
        <f t="shared" si="13"/>
        <v>38</v>
      </c>
      <c r="R14" s="21">
        <f>IF((Resultat!$B$4&gt;Resultat!D24),ROUND(((Resultat!$B$4-Resultat!D24)*Resultat!$H$2),0),0)</f>
        <v>565</v>
      </c>
      <c r="S14" s="21">
        <f t="shared" si="14"/>
        <v>0</v>
      </c>
      <c r="T14" s="21">
        <f t="shared" si="15"/>
        <v>565</v>
      </c>
      <c r="U14" s="21">
        <f t="shared" si="16"/>
        <v>9</v>
      </c>
      <c r="V14" s="21">
        <f t="shared" si="17"/>
        <v>25</v>
      </c>
      <c r="W14" s="21" t="s">
        <v>118</v>
      </c>
    </row>
    <row r="15" spans="1:23" ht="12.75" customHeight="1" x14ac:dyDescent="0.2">
      <c r="A15" s="22">
        <f>Resultat!F25</f>
        <v>4.0358796296296351E-2</v>
      </c>
      <c r="B15" s="21">
        <f t="shared" si="0"/>
        <v>0</v>
      </c>
      <c r="C15" s="21">
        <f t="shared" si="1"/>
        <v>0</v>
      </c>
      <c r="D15" s="21">
        <f t="shared" si="2"/>
        <v>58</v>
      </c>
      <c r="E15" s="21">
        <f t="shared" si="3"/>
        <v>3480</v>
      </c>
      <c r="F15" s="21">
        <f t="shared" si="4"/>
        <v>7</v>
      </c>
      <c r="G15" s="21">
        <f t="shared" si="5"/>
        <v>3487</v>
      </c>
      <c r="H15" s="23">
        <f>IF((Resultat!$B$6&lt;=7),(G15+((Resultat!$B$4-Resultat!D25)*Resultat!$H$2)),(G15*Resultat!D25))</f>
        <v>4121.5599999999995</v>
      </c>
      <c r="I15" s="21">
        <f t="shared" si="6"/>
        <v>1</v>
      </c>
      <c r="J15" s="23">
        <f t="shared" si="7"/>
        <v>521.55999999999949</v>
      </c>
      <c r="K15" s="21">
        <f t="shared" si="8"/>
        <v>8</v>
      </c>
      <c r="L15" s="23">
        <f t="shared" si="9"/>
        <v>41.559999999999491</v>
      </c>
      <c r="M15" s="23">
        <f>ROUND((Resultat!D25*Resultat!$H$2),0)</f>
        <v>3329</v>
      </c>
      <c r="N15" s="23">
        <f t="shared" si="10"/>
        <v>0</v>
      </c>
      <c r="O15" s="23">
        <f t="shared" si="11"/>
        <v>3329</v>
      </c>
      <c r="P15" s="21">
        <f t="shared" si="12"/>
        <v>55</v>
      </c>
      <c r="Q15" s="23">
        <f t="shared" si="13"/>
        <v>29</v>
      </c>
      <c r="R15" s="21">
        <f>IF((Resultat!$B$4&gt;Resultat!D25),ROUND(((Resultat!$B$4-Resultat!D25)*Resultat!$H$2),0),0)</f>
        <v>635</v>
      </c>
      <c r="S15" s="21">
        <f t="shared" si="14"/>
        <v>0</v>
      </c>
      <c r="T15" s="21">
        <f t="shared" si="15"/>
        <v>635</v>
      </c>
      <c r="U15" s="21">
        <f t="shared" si="16"/>
        <v>10</v>
      </c>
      <c r="V15" s="21">
        <f t="shared" si="17"/>
        <v>35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3626</v>
      </c>
      <c r="N16" s="23">
        <f t="shared" si="10"/>
        <v>1</v>
      </c>
      <c r="O16" s="23">
        <f t="shared" si="11"/>
        <v>26</v>
      </c>
      <c r="P16" s="21">
        <f t="shared" si="12"/>
        <v>0</v>
      </c>
      <c r="Q16" s="23">
        <f t="shared" si="13"/>
        <v>26</v>
      </c>
      <c r="R16" s="21">
        <f>IF((Resultat!$B$4&gt;Resultat!D26),ROUND(((Resultat!$B$4-Resultat!D26)*Resultat!$H$2),0),0)</f>
        <v>338</v>
      </c>
      <c r="S16" s="21">
        <f t="shared" si="14"/>
        <v>0</v>
      </c>
      <c r="T16" s="21">
        <f t="shared" si="15"/>
        <v>338</v>
      </c>
      <c r="U16" s="21">
        <f t="shared" si="16"/>
        <v>5</v>
      </c>
      <c r="V16" s="21">
        <f t="shared" si="17"/>
        <v>38</v>
      </c>
      <c r="W16" s="13" t="s">
        <v>70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3776</v>
      </c>
      <c r="N17" s="23">
        <f t="shared" si="10"/>
        <v>1</v>
      </c>
      <c r="O17" s="23">
        <f t="shared" si="11"/>
        <v>176</v>
      </c>
      <c r="P17" s="21">
        <f t="shared" si="12"/>
        <v>2</v>
      </c>
      <c r="Q17" s="23">
        <f t="shared" si="13"/>
        <v>56</v>
      </c>
      <c r="R17" s="21">
        <f>IF((Resultat!$B$4&gt;Resultat!D27),ROUND(((Resultat!$B$4-Resultat!D27)*Resultat!$H$2),0),0)</f>
        <v>188</v>
      </c>
      <c r="S17" s="21">
        <f t="shared" si="14"/>
        <v>0</v>
      </c>
      <c r="T17" s="21">
        <f t="shared" si="15"/>
        <v>188</v>
      </c>
      <c r="U17" s="21">
        <f t="shared" si="16"/>
        <v>3</v>
      </c>
      <c r="V17" s="21">
        <f t="shared" si="17"/>
        <v>8</v>
      </c>
      <c r="W17" s="21" t="s">
        <v>29</v>
      </c>
    </row>
    <row r="18" spans="1:23" ht="12.75" customHeight="1" x14ac:dyDescent="0.2">
      <c r="A18" s="22">
        <f>Resultat!F28</f>
        <v>4.268518518518527E-2</v>
      </c>
      <c r="B18" s="21">
        <f t="shared" si="0"/>
        <v>1</v>
      </c>
      <c r="C18" s="21">
        <f t="shared" si="1"/>
        <v>3600</v>
      </c>
      <c r="D18" s="21">
        <f t="shared" si="2"/>
        <v>1</v>
      </c>
      <c r="E18" s="21">
        <f t="shared" si="3"/>
        <v>60</v>
      </c>
      <c r="F18" s="21">
        <f t="shared" si="4"/>
        <v>28</v>
      </c>
      <c r="G18" s="21">
        <f t="shared" si="5"/>
        <v>3688</v>
      </c>
      <c r="H18" s="23">
        <f>IF((Resultat!$B$6&lt;=7),(G18+((Resultat!$B$4-Resultat!D28)*Resultat!$H$2)),(G18*Resultat!D28))</f>
        <v>4432</v>
      </c>
      <c r="I18" s="21">
        <f t="shared" si="6"/>
        <v>1</v>
      </c>
      <c r="J18" s="23">
        <f t="shared" si="7"/>
        <v>832</v>
      </c>
      <c r="K18" s="21">
        <f t="shared" si="8"/>
        <v>13</v>
      </c>
      <c r="L18" s="23">
        <f t="shared" si="9"/>
        <v>52</v>
      </c>
      <c r="M18" s="23">
        <f>ROUND((Resultat!D28*Resultat!$H$2),0)</f>
        <v>3220</v>
      </c>
      <c r="N18" s="23">
        <f t="shared" si="10"/>
        <v>0</v>
      </c>
      <c r="O18" s="23">
        <f t="shared" si="11"/>
        <v>3220</v>
      </c>
      <c r="P18" s="21">
        <f t="shared" si="12"/>
        <v>53</v>
      </c>
      <c r="Q18" s="23">
        <f t="shared" si="13"/>
        <v>40</v>
      </c>
      <c r="R18" s="21">
        <f>IF((Resultat!$B$4&gt;Resultat!D28),ROUND(((Resultat!$B$4-Resultat!D28)*Resultat!$H$2),0),0)</f>
        <v>744</v>
      </c>
      <c r="S18" s="21">
        <f t="shared" si="14"/>
        <v>0</v>
      </c>
      <c r="T18" s="21">
        <f t="shared" si="15"/>
        <v>744</v>
      </c>
      <c r="U18" s="21">
        <f t="shared" si="16"/>
        <v>12</v>
      </c>
      <c r="V18" s="21">
        <f t="shared" si="17"/>
        <v>24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3242</v>
      </c>
      <c r="N19" s="23">
        <f t="shared" si="10"/>
        <v>0</v>
      </c>
      <c r="O19" s="23">
        <f t="shared" si="11"/>
        <v>3242</v>
      </c>
      <c r="P19" s="21">
        <f t="shared" si="12"/>
        <v>54</v>
      </c>
      <c r="Q19" s="23">
        <f t="shared" si="13"/>
        <v>2</v>
      </c>
      <c r="R19" s="21">
        <f>IF((Resultat!$B$4&gt;Resultat!D29),ROUND(((Resultat!$B$4-Resultat!D29)*Resultat!$H$2),0),0)</f>
        <v>722</v>
      </c>
      <c r="S19" s="21">
        <f t="shared" si="14"/>
        <v>0</v>
      </c>
      <c r="T19" s="21">
        <f t="shared" si="15"/>
        <v>722</v>
      </c>
      <c r="U19" s="21">
        <f t="shared" si="16"/>
        <v>12</v>
      </c>
      <c r="V19" s="21">
        <f t="shared" si="17"/>
        <v>2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3164</v>
      </c>
      <c r="N20" s="23">
        <f t="shared" si="10"/>
        <v>0</v>
      </c>
      <c r="O20" s="23">
        <f t="shared" si="11"/>
        <v>3164</v>
      </c>
      <c r="P20" s="21">
        <f t="shared" si="12"/>
        <v>52</v>
      </c>
      <c r="Q20" s="23">
        <f t="shared" si="13"/>
        <v>44</v>
      </c>
      <c r="R20" s="21">
        <f>IF((Resultat!$B$4&gt;Resultat!D30),ROUND(((Resultat!$B$4-Resultat!D30)*Resultat!$H$2),0),0)</f>
        <v>800</v>
      </c>
      <c r="S20" s="21">
        <f t="shared" si="14"/>
        <v>0</v>
      </c>
      <c r="T20" s="21">
        <f t="shared" si="15"/>
        <v>800</v>
      </c>
      <c r="U20" s="21">
        <f t="shared" si="16"/>
        <v>13</v>
      </c>
      <c r="V20" s="21">
        <f t="shared" si="17"/>
        <v>20</v>
      </c>
      <c r="W20" s="21" t="s">
        <v>68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3964</v>
      </c>
      <c r="N21" s="23">
        <f t="shared" si="10"/>
        <v>1</v>
      </c>
      <c r="O21" s="23">
        <f t="shared" si="11"/>
        <v>364</v>
      </c>
      <c r="P21" s="21">
        <f t="shared" si="12"/>
        <v>6</v>
      </c>
      <c r="Q21" s="23">
        <f t="shared" si="13"/>
        <v>4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121</v>
      </c>
    </row>
    <row r="22" spans="1:23" ht="12.75" customHeight="1" x14ac:dyDescent="0.2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3964</v>
      </c>
      <c r="N22" s="23">
        <f t="shared" si="10"/>
        <v>1</v>
      </c>
      <c r="O22" s="23">
        <f t="shared" si="11"/>
        <v>364</v>
      </c>
      <c r="P22" s="21">
        <f t="shared" si="12"/>
        <v>6</v>
      </c>
      <c r="Q22" s="23">
        <f t="shared" si="13"/>
        <v>4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120</v>
      </c>
    </row>
    <row r="23" spans="1:23" ht="12.75" customHeight="1" x14ac:dyDescent="0.2">
      <c r="A23" s="22">
        <f>Resultat!F33</f>
        <v>5.049768518518527E-2</v>
      </c>
      <c r="B23" s="21">
        <f t="shared" si="0"/>
        <v>1</v>
      </c>
      <c r="C23" s="21">
        <f t="shared" si="1"/>
        <v>3600</v>
      </c>
      <c r="D23" s="21">
        <f t="shared" si="2"/>
        <v>12</v>
      </c>
      <c r="E23" s="21">
        <f t="shared" si="3"/>
        <v>720</v>
      </c>
      <c r="F23" s="21">
        <f t="shared" si="4"/>
        <v>43</v>
      </c>
      <c r="G23" s="21">
        <f t="shared" si="5"/>
        <v>4363</v>
      </c>
      <c r="H23" s="23">
        <f>IF((Resultat!$B$6&lt;=7),(G23+((Resultat!$B$4-Resultat!D33)*Resultat!$H$2)),(G23*Resultat!D33))</f>
        <v>4363</v>
      </c>
      <c r="I23" s="21">
        <f t="shared" si="6"/>
        <v>1</v>
      </c>
      <c r="J23" s="23">
        <f t="shared" si="7"/>
        <v>763</v>
      </c>
      <c r="K23" s="21">
        <f t="shared" si="8"/>
        <v>12</v>
      </c>
      <c r="L23" s="23">
        <f t="shared" si="9"/>
        <v>43</v>
      </c>
      <c r="M23" s="23">
        <f>ROUND((Resultat!D33*Resultat!$H$2),0)</f>
        <v>3964</v>
      </c>
      <c r="N23" s="23">
        <f t="shared" si="10"/>
        <v>1</v>
      </c>
      <c r="O23" s="23">
        <f t="shared" si="11"/>
        <v>364</v>
      </c>
      <c r="P23" s="21">
        <f t="shared" si="12"/>
        <v>6</v>
      </c>
      <c r="Q23" s="23">
        <f t="shared" si="13"/>
        <v>4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121</v>
      </c>
    </row>
    <row r="24" spans="1:23" ht="12.75" customHeight="1" x14ac:dyDescent="0.2">
      <c r="A24" s="22">
        <f>Resultat!F34</f>
        <v>5.2013888888889026E-2</v>
      </c>
      <c r="B24" s="21">
        <f t="shared" si="0"/>
        <v>1</v>
      </c>
      <c r="C24" s="21">
        <f t="shared" si="1"/>
        <v>3600</v>
      </c>
      <c r="D24" s="21">
        <f t="shared" si="2"/>
        <v>14</v>
      </c>
      <c r="E24" s="21">
        <f t="shared" si="3"/>
        <v>840</v>
      </c>
      <c r="F24" s="21">
        <f t="shared" si="4"/>
        <v>54</v>
      </c>
      <c r="G24" s="21">
        <f t="shared" si="5"/>
        <v>4494</v>
      </c>
      <c r="H24" s="23">
        <f>IF((Resultat!$B$6&lt;=7),(G24+((Resultat!$B$4-Resultat!D34)*Resultat!$H$2)),(G24*Resultat!D34))</f>
        <v>4494</v>
      </c>
      <c r="I24" s="21">
        <f t="shared" si="6"/>
        <v>1</v>
      </c>
      <c r="J24" s="23">
        <f t="shared" si="7"/>
        <v>894</v>
      </c>
      <c r="K24" s="21">
        <f t="shared" si="8"/>
        <v>14</v>
      </c>
      <c r="L24" s="23">
        <f t="shared" si="9"/>
        <v>54</v>
      </c>
      <c r="M24" s="23">
        <f>ROUND((Resultat!D34*Resultat!$H$2),0)</f>
        <v>3964</v>
      </c>
      <c r="N24" s="23">
        <f t="shared" si="10"/>
        <v>1</v>
      </c>
      <c r="O24" s="23">
        <f t="shared" si="11"/>
        <v>364</v>
      </c>
      <c r="P24" s="21">
        <f t="shared" si="12"/>
        <v>6</v>
      </c>
      <c r="Q24" s="23">
        <f t="shared" si="13"/>
        <v>4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3964</v>
      </c>
      <c r="N25" s="23"/>
      <c r="O25" s="23">
        <f t="shared" ref="O25" si="28">MOD(M25,3600)</f>
        <v>364</v>
      </c>
      <c r="P25" s="21">
        <f t="shared" ref="P25" si="29">INT((O25/60))</f>
        <v>6</v>
      </c>
      <c r="Q25" s="23">
        <f t="shared" ref="Q25" si="30">MOD(O25,60)</f>
        <v>4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115</v>
      </c>
    </row>
    <row r="26" spans="1:23" ht="12.75" customHeight="1" x14ac:dyDescent="0.2">
      <c r="A26" s="22">
        <f>Resultat!F36</f>
        <v>4.4675925925925952E-2</v>
      </c>
      <c r="B26" s="21">
        <f t="shared" si="0"/>
        <v>1</v>
      </c>
      <c r="C26" s="21">
        <f t="shared" si="1"/>
        <v>3600</v>
      </c>
      <c r="D26" s="21">
        <f t="shared" si="2"/>
        <v>4</v>
      </c>
      <c r="E26" s="21">
        <f t="shared" si="3"/>
        <v>240</v>
      </c>
      <c r="F26" s="21">
        <f t="shared" si="4"/>
        <v>20</v>
      </c>
      <c r="G26" s="21">
        <f t="shared" si="5"/>
        <v>3860</v>
      </c>
      <c r="H26" s="23">
        <f>IF((Resultat!$B$6&lt;=7),(G26+((Resultat!$B$4-Resultat!D36)*Resultat!$H$2)),(G26*Resultat!D36))</f>
        <v>4228.6399999999994</v>
      </c>
      <c r="I26" s="21">
        <f t="shared" si="6"/>
        <v>1</v>
      </c>
      <c r="J26" s="23">
        <f t="shared" si="7"/>
        <v>628.63999999999942</v>
      </c>
      <c r="K26" s="21">
        <f t="shared" si="8"/>
        <v>10</v>
      </c>
      <c r="L26" s="23">
        <f t="shared" si="9"/>
        <v>28.639999999999418</v>
      </c>
      <c r="M26" s="23">
        <f>ROUND((Resultat!D36*Resultat!$H$2),0)</f>
        <v>3595</v>
      </c>
      <c r="N26" s="23">
        <f t="shared" si="10"/>
        <v>0</v>
      </c>
      <c r="O26" s="23">
        <f t="shared" si="11"/>
        <v>3595</v>
      </c>
      <c r="P26" s="21">
        <f t="shared" si="12"/>
        <v>59</v>
      </c>
      <c r="Q26" s="23">
        <f t="shared" si="13"/>
        <v>55</v>
      </c>
      <c r="R26" s="21">
        <f>IF((Resultat!$B$4&gt;Resultat!D36),ROUND(((Resultat!$B$4-Resultat!D36)*Resultat!$H$2),0),0)</f>
        <v>369</v>
      </c>
      <c r="S26" s="21">
        <f t="shared" si="14"/>
        <v>0</v>
      </c>
      <c r="T26" s="21">
        <f t="shared" si="15"/>
        <v>369</v>
      </c>
      <c r="U26" s="21">
        <f t="shared" si="16"/>
        <v>6</v>
      </c>
      <c r="V26" s="21">
        <f t="shared" si="17"/>
        <v>9</v>
      </c>
      <c r="W26" s="21" t="s">
        <v>77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3596</v>
      </c>
      <c r="N27" s="23">
        <f t="shared" si="10"/>
        <v>0</v>
      </c>
      <c r="O27" s="23">
        <f t="shared" si="11"/>
        <v>3596</v>
      </c>
      <c r="P27" s="21">
        <f t="shared" si="12"/>
        <v>59</v>
      </c>
      <c r="Q27" s="23">
        <f t="shared" si="13"/>
        <v>56</v>
      </c>
      <c r="R27" s="21">
        <f>IF((Resultat!$B$4&gt;Resultat!D37),ROUND(((Resultat!$B$4-Resultat!D37)*Resultat!$H$2),0),0)</f>
        <v>368</v>
      </c>
      <c r="S27" s="21">
        <f t="shared" si="14"/>
        <v>0</v>
      </c>
      <c r="T27" s="21">
        <f t="shared" si="15"/>
        <v>368</v>
      </c>
      <c r="U27" s="21">
        <f t="shared" si="16"/>
        <v>6</v>
      </c>
      <c r="V27" s="21">
        <f t="shared" si="17"/>
        <v>8</v>
      </c>
      <c r="W27" s="21" t="s">
        <v>108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3175</v>
      </c>
      <c r="N28" s="23">
        <f t="shared" si="10"/>
        <v>0</v>
      </c>
      <c r="O28" s="23">
        <f t="shared" si="11"/>
        <v>3175</v>
      </c>
      <c r="P28" s="21">
        <f t="shared" si="12"/>
        <v>52</v>
      </c>
      <c r="Q28" s="23">
        <f t="shared" si="13"/>
        <v>55</v>
      </c>
      <c r="R28" s="21">
        <f>IF((Resultat!$B$4&gt;Resultat!D38),ROUND(((Resultat!$B$4-Resultat!D38)*Resultat!$H$2),0),0)</f>
        <v>789</v>
      </c>
      <c r="S28" s="21">
        <f t="shared" si="14"/>
        <v>0</v>
      </c>
      <c r="T28" s="21">
        <f t="shared" si="15"/>
        <v>789</v>
      </c>
      <c r="U28" s="21">
        <f t="shared" si="16"/>
        <v>13</v>
      </c>
      <c r="V28" s="21">
        <f t="shared" si="17"/>
        <v>9</v>
      </c>
      <c r="W28" s="21" t="s">
        <v>106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3972</v>
      </c>
      <c r="N29" s="23">
        <f t="shared" si="10"/>
        <v>1</v>
      </c>
      <c r="O29" s="23">
        <f t="shared" si="11"/>
        <v>372</v>
      </c>
      <c r="P29" s="21">
        <f t="shared" si="12"/>
        <v>6</v>
      </c>
      <c r="Q29" s="23">
        <f t="shared" si="13"/>
        <v>12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2018-05-16T18:54:25Z</dcterms:modified>
</cp:coreProperties>
</file>